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730" windowHeight="11760" firstSheet="1" activeTab="1"/>
  </bookViews>
  <sheets>
    <sheet name="Sheet1" sheetId="1" state="hidden" r:id="rId1"/>
    <sheet name="污泥合同汇总情况表"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23" i="2" l="1"/>
  <c r="P23" i="2"/>
  <c r="O23" i="2"/>
  <c r="N23" i="2"/>
  <c r="M23" i="2"/>
  <c r="Q22" i="2"/>
  <c r="P22" i="2"/>
  <c r="O22" i="2"/>
  <c r="N22" i="2"/>
  <c r="M22" i="2"/>
  <c r="Q20" i="2"/>
  <c r="P20" i="2"/>
  <c r="O20" i="2"/>
  <c r="N20" i="2"/>
  <c r="M20" i="2"/>
  <c r="Q18" i="2"/>
  <c r="P18" i="2"/>
  <c r="O18" i="2"/>
  <c r="N18" i="2"/>
  <c r="M18" i="2"/>
  <c r="Q17" i="2"/>
  <c r="P17" i="2"/>
  <c r="O17" i="2"/>
  <c r="N17" i="2"/>
  <c r="M17" i="2"/>
  <c r="Q15" i="2"/>
  <c r="P15" i="2"/>
  <c r="O15" i="2"/>
  <c r="M15" i="2"/>
  <c r="N15" i="2"/>
  <c r="Q14" i="2"/>
  <c r="P14" i="2"/>
  <c r="O14" i="2"/>
  <c r="N14" i="2"/>
  <c r="M14" i="2"/>
  <c r="Q11" i="2"/>
  <c r="P11" i="2"/>
  <c r="O11" i="2"/>
  <c r="N11" i="2"/>
  <c r="Q10" i="2"/>
  <c r="P10" i="2"/>
  <c r="O10" i="2"/>
  <c r="N10" i="2"/>
  <c r="Q8" i="2"/>
  <c r="P8" i="2"/>
  <c r="O8" i="2"/>
  <c r="N8" i="2"/>
  <c r="N4" i="2"/>
  <c r="L11" i="2"/>
  <c r="M11" i="2"/>
  <c r="M10" i="2"/>
  <c r="M8" i="2"/>
  <c r="M4" i="2"/>
  <c r="G18" i="2"/>
  <c r="G17" i="2"/>
  <c r="G15" i="2"/>
  <c r="G14" i="2"/>
  <c r="G6" i="2"/>
  <c r="G7" i="2"/>
  <c r="G16" i="2"/>
  <c r="E25" i="2"/>
  <c r="R24" i="2"/>
  <c r="R13" i="2"/>
  <c r="Q4" i="2"/>
  <c r="Q5" i="2"/>
  <c r="Q6" i="2"/>
  <c r="Q7" i="2"/>
  <c r="Q12" i="2"/>
  <c r="Q16" i="2"/>
  <c r="Q19" i="2"/>
  <c r="Q21" i="2"/>
  <c r="P4" i="2"/>
  <c r="P5" i="2"/>
  <c r="P6" i="2"/>
  <c r="P7" i="2"/>
  <c r="P12" i="2"/>
  <c r="P16" i="2"/>
  <c r="P19" i="2"/>
  <c r="P21" i="2"/>
  <c r="O4" i="2"/>
  <c r="O5" i="2"/>
  <c r="O6" i="2"/>
  <c r="O7" i="2"/>
  <c r="O12" i="2"/>
  <c r="O16" i="2"/>
  <c r="O19" i="2"/>
  <c r="O21" i="2"/>
  <c r="N5" i="2"/>
  <c r="N6" i="2"/>
  <c r="N7" i="2"/>
  <c r="N12" i="2"/>
  <c r="N16" i="2"/>
  <c r="N19" i="2"/>
  <c r="N21" i="2"/>
  <c r="M5" i="2"/>
  <c r="M6" i="2"/>
  <c r="M7" i="2"/>
  <c r="M12" i="2"/>
  <c r="M16" i="2"/>
  <c r="M19" i="2"/>
  <c r="M21" i="2"/>
  <c r="Q3" i="2"/>
  <c r="P3" i="2"/>
  <c r="O3" i="2"/>
  <c r="N3" i="2"/>
  <c r="M3" i="2"/>
  <c r="L23" i="2"/>
  <c r="L22" i="2"/>
  <c r="L21" i="2"/>
  <c r="K23" i="2"/>
  <c r="K22" i="2"/>
  <c r="K21" i="2"/>
  <c r="K20" i="2"/>
  <c r="L20" i="2"/>
  <c r="L19" i="2"/>
  <c r="L18" i="2"/>
  <c r="L17" i="2"/>
  <c r="K15" i="2"/>
  <c r="L15" i="2"/>
  <c r="L14" i="2"/>
  <c r="L12" i="2"/>
  <c r="K10" i="2"/>
  <c r="L10" i="2"/>
  <c r="L8" i="2"/>
  <c r="L4" i="2"/>
  <c r="L5" i="2"/>
  <c r="L6" i="2"/>
  <c r="L7" i="2"/>
  <c r="L16" i="2"/>
  <c r="L3" i="2"/>
  <c r="K4" i="2"/>
  <c r="K5" i="2"/>
  <c r="K8" i="2"/>
  <c r="K12" i="2"/>
  <c r="K11" i="2"/>
  <c r="K6" i="2"/>
  <c r="K7" i="2"/>
  <c r="K3" i="2"/>
  <c r="J3" i="2"/>
  <c r="K19" i="2"/>
  <c r="K18" i="2"/>
  <c r="K17" i="2"/>
  <c r="K16" i="2"/>
  <c r="K14" i="2"/>
  <c r="J23" i="2"/>
  <c r="J22" i="2"/>
  <c r="J21" i="2"/>
  <c r="J20" i="2"/>
  <c r="J19" i="2"/>
  <c r="J18" i="2"/>
  <c r="J17" i="2"/>
  <c r="J15" i="2"/>
  <c r="J14" i="2"/>
  <c r="J12" i="2"/>
  <c r="J11" i="2"/>
  <c r="J10" i="2"/>
  <c r="I8" i="2"/>
  <c r="J8" i="2"/>
  <c r="I7" i="2"/>
  <c r="J5" i="2"/>
  <c r="J4" i="2"/>
  <c r="J6" i="2"/>
  <c r="J7" i="2"/>
  <c r="J16" i="2"/>
  <c r="I12" i="2"/>
  <c r="I23" i="2"/>
  <c r="I22" i="2"/>
  <c r="I21" i="2"/>
  <c r="I20" i="2"/>
  <c r="I19" i="2"/>
  <c r="H18" i="2"/>
  <c r="I18" i="2"/>
  <c r="I17" i="2"/>
  <c r="I16" i="2"/>
  <c r="I15" i="2"/>
  <c r="I14" i="2"/>
  <c r="I10" i="2"/>
  <c r="H8" i="2"/>
  <c r="I6" i="2"/>
  <c r="I5" i="2"/>
  <c r="I4" i="2"/>
  <c r="H19" i="2"/>
  <c r="G19" i="2"/>
  <c r="H17" i="2"/>
  <c r="H14" i="2"/>
  <c r="H15" i="2"/>
  <c r="H16" i="2"/>
  <c r="H10" i="2"/>
  <c r="G10" i="2"/>
  <c r="H9" i="2"/>
  <c r="H7" i="2"/>
  <c r="H6" i="2"/>
  <c r="H5" i="2"/>
  <c r="I3" i="2"/>
  <c r="H3" i="2"/>
  <c r="G9" i="2"/>
  <c r="G8" i="2"/>
  <c r="G5" i="2"/>
  <c r="G3" i="2"/>
  <c r="J28" i="2" l="1"/>
  <c r="R3" i="2"/>
  <c r="R19" i="2"/>
  <c r="I28" i="2"/>
  <c r="G25" i="2"/>
  <c r="G28" i="2" s="1"/>
  <c r="R6" i="2"/>
  <c r="K28" i="2"/>
  <c r="R22" i="2"/>
  <c r="Q25" i="2"/>
  <c r="Q26" i="2" s="1"/>
  <c r="O25" i="2"/>
  <c r="O26" i="2" s="1"/>
  <c r="R4" i="2"/>
  <c r="R16" i="2"/>
  <c r="R7" i="2"/>
  <c r="R9" i="2"/>
  <c r="R10" i="2"/>
  <c r="K25" i="2"/>
  <c r="K26" i="2" s="1"/>
  <c r="L25" i="2"/>
  <c r="L26" i="2" s="1"/>
  <c r="R17" i="2"/>
  <c r="R11" i="2"/>
  <c r="R14" i="2"/>
  <c r="R18" i="2"/>
  <c r="R20" i="2"/>
  <c r="M25" i="2"/>
  <c r="M26" i="2" s="1"/>
  <c r="R8" i="2"/>
  <c r="R15" i="2"/>
  <c r="R21" i="2"/>
  <c r="J25" i="2"/>
  <c r="J26" i="2" s="1"/>
  <c r="R12" i="2"/>
  <c r="N25" i="2"/>
  <c r="N26" i="2" s="1"/>
  <c r="R5" i="2"/>
  <c r="G26" i="2"/>
  <c r="R23" i="2"/>
  <c r="P25" i="2"/>
  <c r="P26" i="2" s="1"/>
  <c r="H25" i="2"/>
  <c r="I25" i="2"/>
  <c r="I26" i="2" s="1"/>
  <c r="H26" i="2" l="1"/>
  <c r="H28" i="2"/>
  <c r="R28" i="2"/>
  <c r="R25" i="2"/>
  <c r="R26" i="2" s="1"/>
</calcChain>
</file>

<file path=xl/sharedStrings.xml><?xml version="1.0" encoding="utf-8"?>
<sst xmlns="http://schemas.openxmlformats.org/spreadsheetml/2006/main" count="168" uniqueCount="101">
  <si>
    <t>公司</t>
    <phoneticPr fontId="2" type="noConversion"/>
  </si>
  <si>
    <t>厂区名称</t>
    <phoneticPr fontId="2" type="noConversion"/>
  </si>
  <si>
    <t>东莞市市区污水处理厂（一二期、三期）</t>
    <phoneticPr fontId="2" type="noConversion"/>
  </si>
  <si>
    <t>东莞市石碣沙腰污水处理厂扩建工程</t>
    <phoneticPr fontId="2" type="noConversion"/>
  </si>
  <si>
    <t>东莞市松山湖北部污水处理厂二期</t>
    <phoneticPr fontId="2" type="noConversion"/>
  </si>
  <si>
    <t>东莞市凤岗虾公潭污水处理厂</t>
    <phoneticPr fontId="2" type="noConversion"/>
  </si>
  <si>
    <t>东莞市桥头污水处理厂二期</t>
    <phoneticPr fontId="2" type="noConversion"/>
  </si>
  <si>
    <t>东莞市谢岗污水处理厂二期</t>
    <phoneticPr fontId="2" type="noConversion"/>
  </si>
  <si>
    <t>东莞市长安新区污水处理厂</t>
    <phoneticPr fontId="2" type="noConversion"/>
  </si>
  <si>
    <t>东莞市凤岗竹塘污水处理厂二期</t>
    <phoneticPr fontId="2" type="noConversion"/>
  </si>
  <si>
    <t>东莞市塘厦林村污水处理厂二期</t>
    <phoneticPr fontId="2" type="noConversion"/>
  </si>
  <si>
    <t>东莞市厚街沙塘污水处理厂二期</t>
    <phoneticPr fontId="2" type="noConversion"/>
  </si>
  <si>
    <t>东莞市万江污水处理厂二期</t>
    <phoneticPr fontId="2" type="noConversion"/>
  </si>
  <si>
    <t>东莞市虎门港立沙岛污水处理厂</t>
    <phoneticPr fontId="2" type="noConversion"/>
  </si>
  <si>
    <t>序号</t>
    <phoneticPr fontId="2" type="noConversion"/>
  </si>
  <si>
    <t>东莞市樟村水质净化厂</t>
    <phoneticPr fontId="2" type="noConversion"/>
  </si>
  <si>
    <t>东莞市水务投资集团有限公司</t>
    <phoneticPr fontId="2" type="noConversion"/>
  </si>
  <si>
    <t>东莞市黄江污水处理厂二期</t>
    <phoneticPr fontId="2" type="noConversion"/>
  </si>
  <si>
    <t>东莞市东城温塘污水处理厂</t>
    <phoneticPr fontId="2" type="noConversion"/>
  </si>
  <si>
    <t>东莞市虎门宁州污水处理厂二期</t>
    <phoneticPr fontId="2" type="noConversion"/>
  </si>
  <si>
    <t>樟木头污水处理厂三期</t>
    <phoneticPr fontId="2" type="noConversion"/>
  </si>
  <si>
    <t>中堂污水处理厂二期</t>
    <phoneticPr fontId="2" type="noConversion"/>
  </si>
  <si>
    <t>寮步竹园污水处理厂二期</t>
    <phoneticPr fontId="2" type="noConversion"/>
  </si>
  <si>
    <t>麻涌污水处理厂二期</t>
    <phoneticPr fontId="2" type="noConversion"/>
  </si>
  <si>
    <t>大朗松山湖南部合建污水处理厂二期</t>
    <phoneticPr fontId="2" type="noConversion"/>
  </si>
  <si>
    <t>东城牛山污水处理厂二期</t>
    <phoneticPr fontId="2" type="noConversion"/>
  </si>
  <si>
    <t>樟木头裕丰污水处理厂</t>
    <phoneticPr fontId="2" type="noConversion"/>
  </si>
  <si>
    <t>地址</t>
    <phoneticPr fontId="2" type="noConversion"/>
  </si>
  <si>
    <t>设计规模                    （万吨）</t>
    <phoneticPr fontId="2" type="noConversion"/>
  </si>
  <si>
    <t>东莞市南城区石鼓村王洲</t>
  </si>
  <si>
    <t>东莞市凤岗镇油甘埔村</t>
  </si>
  <si>
    <t>东莞市石碣镇沙腰村沿江西路2号</t>
  </si>
  <si>
    <t>东莞松山湖高新技术产业开发区工业西三路东莞市松山湖北部污水处理厂二期</t>
  </si>
  <si>
    <t>东莞市桥头镇东深路（朗厦段）B区8号</t>
  </si>
  <si>
    <t>东莞市谢岗镇谢岗村乌舅湖</t>
  </si>
  <si>
    <t>东莞市长安镇乌沙社区兴发南路长安新区污水处理厂</t>
  </si>
  <si>
    <t>东莞市凤岗镇竹塘村浸校塘组</t>
  </si>
  <si>
    <t>东莞市塘厦镇林村居委会鸡爪桥猪仔沥</t>
  </si>
  <si>
    <t>东莞市厚街镇沙塘村沙隆路污水处理厂二期</t>
  </si>
  <si>
    <t>东莞市万江区流涌尾社区白水涡</t>
  </si>
  <si>
    <t>东莞市沙田镇大流村下涌</t>
  </si>
  <si>
    <t>东莞市黄江镇合路村创业一路黄江污水处理厂二期</t>
  </si>
  <si>
    <t>东莞市东城温塘社区东南角东城温塘污水处理厂</t>
  </si>
  <si>
    <t>东莞市虎门镇路东村虎门宁州污水处理厂二期</t>
  </si>
  <si>
    <t>东莞市樟木头镇柏地村樟木头污水处理厂三期</t>
  </si>
  <si>
    <t>污泥处置合同期限</t>
    <phoneticPr fontId="2" type="noConversion"/>
  </si>
  <si>
    <t>2019年12月31日止
（永安）</t>
    <phoneticPr fontId="2" type="noConversion"/>
  </si>
  <si>
    <t>2020年1月31日止
（金茂）</t>
    <phoneticPr fontId="2" type="noConversion"/>
  </si>
  <si>
    <t>2020年2月26日止
（金茂）</t>
    <phoneticPr fontId="2" type="noConversion"/>
  </si>
  <si>
    <t>2020年2月9日止
（金茂）</t>
    <phoneticPr fontId="2" type="noConversion"/>
  </si>
  <si>
    <t>2020年6月1日止
（金茂）</t>
    <phoneticPr fontId="2" type="noConversion"/>
  </si>
  <si>
    <t>2020年6月18日止
（金茂）</t>
    <phoneticPr fontId="2" type="noConversion"/>
  </si>
  <si>
    <t>2020年12月28日止
（金茂）</t>
    <phoneticPr fontId="2" type="noConversion"/>
  </si>
  <si>
    <t>2020年9月29日止
（金茂）</t>
    <phoneticPr fontId="2" type="noConversion"/>
  </si>
  <si>
    <t>/</t>
    <phoneticPr fontId="2" type="noConversion"/>
  </si>
  <si>
    <t>2019年10月31日止
（金茂）</t>
    <phoneticPr fontId="2" type="noConversion"/>
  </si>
  <si>
    <t>备注</t>
    <phoneticPr fontId="2" type="noConversion"/>
  </si>
  <si>
    <t>2020年2月18日止
（金茂）</t>
    <phoneticPr fontId="2" type="noConversion"/>
  </si>
  <si>
    <t>2020年5月31日止
（金茂）</t>
    <phoneticPr fontId="2" type="noConversion"/>
  </si>
  <si>
    <t>望洪污水处理厂提标项目</t>
    <phoneticPr fontId="2" type="noConversion"/>
  </si>
  <si>
    <t>凤岗雁田污水处理厂提标项目</t>
    <phoneticPr fontId="2" type="noConversion"/>
  </si>
  <si>
    <t>广东省东莞市中堂镇中堂滨河东路68号之一101室</t>
    <phoneticPr fontId="5" type="noConversion"/>
  </si>
  <si>
    <t>广东省东莞市东城街道象山路7号2栋101室</t>
    <phoneticPr fontId="5" type="noConversion"/>
  </si>
  <si>
    <t>广东省东莞市大朗镇杨沙路153号十三栋101室</t>
    <phoneticPr fontId="5" type="noConversion"/>
  </si>
  <si>
    <t>广东省东莞市麻涌镇新沙公园南一路9号2号楼202室</t>
    <phoneticPr fontId="5" type="noConversion"/>
  </si>
  <si>
    <t>2019年12月20日止
（金茂）</t>
    <phoneticPr fontId="2" type="noConversion"/>
  </si>
  <si>
    <t>2020年6月30日止
（金茂）</t>
    <phoneticPr fontId="2" type="noConversion"/>
  </si>
  <si>
    <t>正在与金茂签订新协议，2020年4月30日止</t>
    <phoneticPr fontId="2" type="noConversion"/>
  </si>
  <si>
    <t>正在与金茂签订新协议，2020年5月20日止</t>
    <phoneticPr fontId="2" type="noConversion"/>
  </si>
  <si>
    <t>东莞市东城东温塘污水处理厂</t>
    <phoneticPr fontId="2" type="noConversion"/>
  </si>
  <si>
    <t>2月</t>
    <phoneticPr fontId="2" type="noConversion"/>
  </si>
  <si>
    <t>3月</t>
    <phoneticPr fontId="2" type="noConversion"/>
  </si>
  <si>
    <t>4月</t>
    <phoneticPr fontId="2" type="noConversion"/>
  </si>
  <si>
    <t>5月</t>
    <phoneticPr fontId="2" type="noConversion"/>
  </si>
  <si>
    <t>6月</t>
    <phoneticPr fontId="2" type="noConversion"/>
  </si>
  <si>
    <t>7月</t>
    <phoneticPr fontId="2" type="noConversion"/>
  </si>
  <si>
    <t>8月</t>
    <phoneticPr fontId="2" type="noConversion"/>
  </si>
  <si>
    <t>9月</t>
    <phoneticPr fontId="2" type="noConversion"/>
  </si>
  <si>
    <t>10月</t>
    <phoneticPr fontId="2" type="noConversion"/>
  </si>
  <si>
    <t>11月</t>
    <phoneticPr fontId="2" type="noConversion"/>
  </si>
  <si>
    <t>12月</t>
    <phoneticPr fontId="2" type="noConversion"/>
  </si>
  <si>
    <t>每天最大脱泥量</t>
    <phoneticPr fontId="2" type="noConversion"/>
  </si>
  <si>
    <t>18（60%）</t>
    <phoneticPr fontId="2" type="noConversion"/>
  </si>
  <si>
    <t>75（60%35，80%40）</t>
    <phoneticPr fontId="2" type="noConversion"/>
  </si>
  <si>
    <t>——</t>
    <phoneticPr fontId="2" type="noConversion"/>
  </si>
  <si>
    <t>——</t>
    <phoneticPr fontId="2" type="noConversion"/>
  </si>
  <si>
    <t>__</t>
    <phoneticPr fontId="2" type="noConversion"/>
  </si>
  <si>
    <t>——</t>
    <phoneticPr fontId="2" type="noConversion"/>
  </si>
  <si>
    <t>合计</t>
    <phoneticPr fontId="2" type="noConversion"/>
  </si>
  <si>
    <t>市区厂污泥干化项目设计200吨，实际300吨。(预计4月1日投产）</t>
    <phoneticPr fontId="2" type="noConversion"/>
  </si>
  <si>
    <t>塘厦林村污泥干化项目设计200吨，实际250吨。（预计7月1日投产）</t>
    <phoneticPr fontId="2" type="noConversion"/>
  </si>
  <si>
    <t>厚街污泥干化项目200吨，实际260吨。（预计10月1日投产）</t>
    <phoneticPr fontId="2" type="noConversion"/>
  </si>
  <si>
    <t>暂无对应的污泥干化项目</t>
    <phoneticPr fontId="2" type="noConversion"/>
  </si>
  <si>
    <t>东莞市市区污水处理厂（一二期、三期）含提标项目</t>
    <phoneticPr fontId="2" type="noConversion"/>
  </si>
  <si>
    <t>东莞市凤岗虾公潭污水处理厂（含提标项目）</t>
    <phoneticPr fontId="2" type="noConversion"/>
  </si>
  <si>
    <t>合计（单位：吨）</t>
    <phoneticPr fontId="2" type="noConversion"/>
  </si>
  <si>
    <t>备注：1、市区污泥干化项目预计4月1日投产，市区厂4月1日开始不需外运处置；剩余需外运处置污泥450~520吨/天；2、塘厦林村污泥干化项目预计7月1日投产，对应的9个项目从7月1日开始开始不需外运处置；剩余需外运处置污泥300~350吨/天；3、厚街沙塘污泥干化项目预计10月1日投产，对应的3个项目从10月1日开始不需外运处置；剩余需外运处置的污泥约167吨/天；4、无对应的污泥干化8个项目需等3个污泥干化项目投运情况，是否存在富于，再进行调整处置方式。</t>
    <phoneticPr fontId="2" type="noConversion"/>
  </si>
  <si>
    <t>日均产泥量（单位：吨）</t>
    <phoneticPr fontId="2" type="noConversion"/>
  </si>
  <si>
    <t>需外运处置的日均产泥量（单位：吨）</t>
    <phoneticPr fontId="2" type="noConversion"/>
  </si>
  <si>
    <t>需外运处置的总量（单位：吨）</t>
    <phoneticPr fontId="2" type="noConversion"/>
  </si>
  <si>
    <t>水投公司旗下市政污水处理厂预计产泥量汇总表</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</si>
</sst>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1">
    <font>
      <sz val="11"/>
      <color theme="1"/>
      <name val="等线"/>
      <family val="2"/>
      <scheme val="minor"/>
    </font>
    <font>
      <b/>
      <sz val="11"/>
      <color theme="1"/>
      <name val="等线"/>
      <family val="3"/>
      <charset val="134"/>
      <scheme val="minor"/>
    </font>
    <font>
      <sz val="9"/>
      <name val="等线"/>
      <family val="3"/>
      <charset val="134"/>
      <scheme val="minor"/>
    </font>
    <font>
      <sz val="11"/>
      <color theme="1"/>
      <name val="等线"/>
      <family val="3"/>
      <charset val="134"/>
      <scheme val="minor"/>
    </font>
    <font>
      <sz val="12"/>
      <color theme="1"/>
      <name val="等线"/>
      <family val="3"/>
      <charset val="134"/>
      <scheme val="minor"/>
    </font>
    <font>
      <sz val="9"/>
      <name val="等线"/>
      <family val="2"/>
      <charset val="134"/>
      <scheme val="minor"/>
    </font>
    <font>
      <b/>
      <sz val="9"/>
      <color theme="1"/>
      <name val="等线"/>
      <family val="3"/>
      <charset val="134"/>
      <scheme val="minor"/>
    </font>
    <font>
      <sz val="9"/>
      <color theme="1"/>
      <name val="等线"/>
      <family val="3"/>
      <charset val="134"/>
      <scheme val="minor"/>
    </font>
    <font>
      <sz val="9"/>
      <color rgb="FFFF0000"/>
      <name val="等线"/>
      <family val="3"/>
      <charset val="134"/>
      <scheme val="minor"/>
    </font>
    <font>
      <sz val="18"/>
      <color theme="1"/>
      <name val="方正小标宋简体"/>
      <family val="4"/>
      <charset val="134"/>
    </font>
    <font>
      <sz val="11"/>
      <name val="等线"/>
      <family val="3"/>
      <charset val="134"/>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62">
    <xf numFmtId="0" fontId="0" fillId="0" borderId="0" xfId="0"/>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3" borderId="3" xfId="0" applyFill="1" applyBorder="1" applyAlignment="1">
      <alignment horizontal="center" vertical="center"/>
    </xf>
    <xf numFmtId="0" fontId="3" fillId="3" borderId="1" xfId="0" applyFont="1" applyFill="1" applyBorder="1" applyAlignment="1">
      <alignment horizontal="center" vertical="center"/>
    </xf>
    <xf numFmtId="0" fontId="0" fillId="3" borderId="1" xfId="0" applyFill="1" applyBorder="1" applyAlignment="1">
      <alignment horizontal="center" vertical="center"/>
    </xf>
    <xf numFmtId="0" fontId="1" fillId="2" borderId="3" xfId="0" applyFont="1" applyFill="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xf>
    <xf numFmtId="0" fontId="1" fillId="2" borderId="1" xfId="0" applyFont="1" applyFill="1" applyBorder="1" applyAlignment="1">
      <alignment horizontal="center" vertical="center" wrapText="1"/>
    </xf>
    <xf numFmtId="0" fontId="0" fillId="0" borderId="0" xfId="0" applyAlignment="1">
      <alignment wrapText="1"/>
    </xf>
    <xf numFmtId="0" fontId="4" fillId="0" borderId="1" xfId="0" applyFont="1" applyFill="1" applyBorder="1" applyAlignment="1">
      <alignment vertical="center"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xf>
    <xf numFmtId="0" fontId="7" fillId="0" borderId="0" xfId="0" applyFont="1"/>
    <xf numFmtId="0" fontId="7" fillId="0" borderId="1" xfId="0" applyFont="1" applyBorder="1" applyAlignment="1">
      <alignment vertical="center" wrapText="1"/>
    </xf>
    <xf numFmtId="0" fontId="7" fillId="0" borderId="1" xfId="0" applyFont="1" applyFill="1" applyBorder="1" applyAlignment="1">
      <alignment vertical="center" wrapText="1"/>
    </xf>
    <xf numFmtId="0" fontId="8" fillId="0" borderId="0" xfId="0" applyFont="1"/>
    <xf numFmtId="0" fontId="6" fillId="2" borderId="2"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Border="1" applyAlignment="1">
      <alignment horizontal="center"/>
    </xf>
    <xf numFmtId="0" fontId="7" fillId="0" borderId="1" xfId="0" applyFont="1" applyBorder="1"/>
    <xf numFmtId="0" fontId="7" fillId="4"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Border="1" applyAlignment="1">
      <alignment horizontal="center"/>
    </xf>
    <xf numFmtId="0" fontId="2" fillId="0" borderId="1" xfId="0" applyFont="1" applyBorder="1"/>
    <xf numFmtId="176" fontId="2" fillId="0" borderId="1" xfId="0" applyNumberFormat="1" applyFont="1" applyBorder="1" applyAlignment="1">
      <alignment horizontal="center"/>
    </xf>
    <xf numFmtId="0" fontId="8" fillId="0" borderId="1" xfId="0" applyFont="1" applyFill="1" applyBorder="1" applyAlignment="1">
      <alignment horizontal="center" vertical="center"/>
    </xf>
    <xf numFmtId="0" fontId="7" fillId="2" borderId="1" xfId="0" applyFont="1" applyFill="1" applyBorder="1"/>
    <xf numFmtId="176" fontId="2" fillId="2" borderId="1" xfId="0" applyNumberFormat="1" applyFont="1" applyFill="1" applyBorder="1" applyAlignment="1">
      <alignment horizontal="center"/>
    </xf>
    <xf numFmtId="0" fontId="7" fillId="0" borderId="0" xfId="0" applyFont="1" applyFill="1"/>
    <xf numFmtId="0" fontId="7" fillId="0" borderId="1" xfId="0" applyFont="1" applyFill="1" applyBorder="1" applyAlignment="1">
      <alignment horizontal="center" vertical="center" wrapText="1"/>
    </xf>
    <xf numFmtId="0" fontId="0" fillId="0" borderId="1" xfId="0" applyBorder="1"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3" borderId="1" xfId="0" applyFont="1" applyFill="1" applyBorder="1" applyAlignment="1">
      <alignment horizontal="center" vertical="center"/>
    </xf>
    <xf numFmtId="0" fontId="0" fillId="3" borderId="1" xfId="0"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7" fillId="0" borderId="1" xfId="0" applyFont="1" applyFill="1" applyBorder="1" applyAlignment="1">
      <alignment horizontal="center" vertical="center"/>
    </xf>
    <xf numFmtId="0" fontId="7" fillId="2" borderId="2" xfId="0" applyFont="1" applyFill="1" applyBorder="1" applyAlignment="1"/>
    <xf numFmtId="0" fontId="0" fillId="0" borderId="3" xfId="0" applyBorder="1" applyAlignment="1"/>
    <xf numFmtId="0" fontId="7" fillId="0" borderId="0" xfId="0" applyFont="1" applyAlignment="1">
      <alignment wrapText="1"/>
    </xf>
    <xf numFmtId="0" fontId="0" fillId="0" borderId="0" xfId="0" applyAlignment="1">
      <alignment wrapText="1"/>
    </xf>
    <xf numFmtId="0" fontId="7" fillId="4" borderId="1" xfId="0" applyFont="1" applyFill="1" applyBorder="1" applyAlignment="1">
      <alignment horizontal="center" vertical="center"/>
    </xf>
    <xf numFmtId="0" fontId="2" fillId="0" borderId="2" xfId="0" applyFont="1" applyBorder="1" applyAlignment="1">
      <alignment wrapText="1"/>
    </xf>
    <xf numFmtId="0" fontId="10" fillId="0" borderId="3" xfId="0" applyFont="1" applyBorder="1" applyAlignment="1">
      <alignment wrapText="1"/>
    </xf>
    <xf numFmtId="0" fontId="7" fillId="0" borderId="2" xfId="0" applyFont="1" applyBorder="1" applyAlignment="1"/>
    <xf numFmtId="0" fontId="9" fillId="0" borderId="7" xfId="0" applyFont="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10" xfId="0"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topLeftCell="B1" workbookViewId="0">
      <selection activeCell="B26" sqref="B2:B26"/>
    </sheetView>
  </sheetViews>
  <sheetFormatPr defaultRowHeight="14"/>
  <cols>
    <col min="4" max="4" width="24.75" customWidth="1"/>
    <col min="5" max="5" width="12.58203125" customWidth="1"/>
    <col min="6" max="7" width="20.58203125" customWidth="1"/>
    <col min="8" max="8" width="20.58203125" style="12" customWidth="1"/>
  </cols>
  <sheetData>
    <row r="1" spans="1:8" ht="28">
      <c r="A1" s="1" t="s">
        <v>0</v>
      </c>
      <c r="B1" s="2" t="s">
        <v>14</v>
      </c>
      <c r="C1" s="42" t="s">
        <v>1</v>
      </c>
      <c r="D1" s="43"/>
      <c r="E1" s="8" t="s">
        <v>28</v>
      </c>
      <c r="F1" s="1" t="s">
        <v>27</v>
      </c>
      <c r="G1" s="1" t="s">
        <v>45</v>
      </c>
      <c r="H1" s="11" t="s">
        <v>56</v>
      </c>
    </row>
    <row r="2" spans="1:8" ht="28">
      <c r="A2" s="37" t="s">
        <v>16</v>
      </c>
      <c r="B2" s="3">
        <v>1</v>
      </c>
      <c r="C2" s="41" t="s">
        <v>2</v>
      </c>
      <c r="D2" s="41"/>
      <c r="E2" s="7">
        <v>40</v>
      </c>
      <c r="F2" s="9" t="s">
        <v>29</v>
      </c>
      <c r="G2" s="3" t="s">
        <v>47</v>
      </c>
      <c r="H2" s="3"/>
    </row>
    <row r="3" spans="1:8" ht="28">
      <c r="A3" s="38"/>
      <c r="B3" s="3">
        <v>2</v>
      </c>
      <c r="C3" s="44" t="s">
        <v>15</v>
      </c>
      <c r="D3" s="45"/>
      <c r="E3" s="5">
        <v>260</v>
      </c>
      <c r="F3" s="9"/>
      <c r="G3" s="3" t="s">
        <v>46</v>
      </c>
      <c r="H3" s="3"/>
    </row>
    <row r="4" spans="1:8" ht="28">
      <c r="A4" s="38"/>
      <c r="B4" s="3">
        <v>3</v>
      </c>
      <c r="C4" s="41" t="s">
        <v>3</v>
      </c>
      <c r="D4" s="41"/>
      <c r="E4" s="7">
        <v>10</v>
      </c>
      <c r="F4" s="9" t="s">
        <v>31</v>
      </c>
      <c r="G4" s="3" t="s">
        <v>48</v>
      </c>
      <c r="H4" s="3"/>
    </row>
    <row r="5" spans="1:8" ht="56">
      <c r="A5" s="38"/>
      <c r="B5" s="3">
        <v>4</v>
      </c>
      <c r="C5" s="41" t="s">
        <v>4</v>
      </c>
      <c r="D5" s="41"/>
      <c r="E5" s="7">
        <v>5</v>
      </c>
      <c r="F5" s="9" t="s">
        <v>32</v>
      </c>
      <c r="G5" s="3" t="s">
        <v>47</v>
      </c>
      <c r="H5" s="3"/>
    </row>
    <row r="6" spans="1:8" ht="28">
      <c r="A6" s="38"/>
      <c r="B6" s="3">
        <v>5</v>
      </c>
      <c r="C6" s="41" t="s">
        <v>5</v>
      </c>
      <c r="D6" s="41"/>
      <c r="E6" s="7">
        <v>2</v>
      </c>
      <c r="F6" s="9" t="s">
        <v>30</v>
      </c>
      <c r="G6" s="3" t="s">
        <v>66</v>
      </c>
      <c r="H6" s="3"/>
    </row>
    <row r="7" spans="1:8" ht="28">
      <c r="A7" s="38"/>
      <c r="B7" s="3">
        <v>6</v>
      </c>
      <c r="C7" s="41" t="s">
        <v>6</v>
      </c>
      <c r="D7" s="41"/>
      <c r="E7" s="7">
        <v>4</v>
      </c>
      <c r="F7" s="9" t="s">
        <v>33</v>
      </c>
      <c r="G7" s="3" t="s">
        <v>65</v>
      </c>
      <c r="H7" s="3" t="s">
        <v>67</v>
      </c>
    </row>
    <row r="8" spans="1:8" ht="28">
      <c r="A8" s="38"/>
      <c r="B8" s="3">
        <v>7</v>
      </c>
      <c r="C8" s="40" t="s">
        <v>7</v>
      </c>
      <c r="D8" s="40"/>
      <c r="E8" s="6">
        <v>3</v>
      </c>
      <c r="F8" s="9" t="s">
        <v>34</v>
      </c>
      <c r="G8" s="3" t="s">
        <v>49</v>
      </c>
      <c r="H8" s="3"/>
    </row>
    <row r="9" spans="1:8" ht="42">
      <c r="A9" s="38"/>
      <c r="B9" s="3">
        <v>8</v>
      </c>
      <c r="C9" s="40" t="s">
        <v>8</v>
      </c>
      <c r="D9" s="40"/>
      <c r="E9" s="6">
        <v>20</v>
      </c>
      <c r="F9" s="9" t="s">
        <v>35</v>
      </c>
      <c r="G9" s="3" t="s">
        <v>50</v>
      </c>
      <c r="H9" s="3"/>
    </row>
    <row r="10" spans="1:8" ht="28">
      <c r="A10" s="38"/>
      <c r="B10" s="3">
        <v>9</v>
      </c>
      <c r="C10" s="40" t="s">
        <v>9</v>
      </c>
      <c r="D10" s="40"/>
      <c r="E10" s="6">
        <v>5</v>
      </c>
      <c r="F10" s="9" t="s">
        <v>36</v>
      </c>
      <c r="G10" s="3" t="s">
        <v>51</v>
      </c>
      <c r="H10" s="3"/>
    </row>
    <row r="11" spans="1:8" ht="28">
      <c r="A11" s="38"/>
      <c r="B11" s="3">
        <v>10</v>
      </c>
      <c r="C11" s="40" t="s">
        <v>10</v>
      </c>
      <c r="D11" s="40"/>
      <c r="E11" s="6">
        <v>4</v>
      </c>
      <c r="F11" s="9" t="s">
        <v>37</v>
      </c>
      <c r="G11" s="3" t="s">
        <v>51</v>
      </c>
      <c r="H11" s="3"/>
    </row>
    <row r="12" spans="1:8" ht="28">
      <c r="A12" s="38"/>
      <c r="B12" s="3">
        <v>11</v>
      </c>
      <c r="C12" s="36" t="s">
        <v>11</v>
      </c>
      <c r="D12" s="36"/>
      <c r="E12" s="4">
        <v>10</v>
      </c>
      <c r="F12" s="9" t="s">
        <v>38</v>
      </c>
      <c r="G12" s="3" t="s">
        <v>52</v>
      </c>
      <c r="H12" s="3"/>
    </row>
    <row r="13" spans="1:8" ht="28">
      <c r="A13" s="38"/>
      <c r="B13" s="3">
        <v>12</v>
      </c>
      <c r="C13" s="36" t="s">
        <v>12</v>
      </c>
      <c r="D13" s="36"/>
      <c r="E13" s="4">
        <v>5</v>
      </c>
      <c r="F13" s="9" t="s">
        <v>39</v>
      </c>
      <c r="G13" s="3" t="s">
        <v>53</v>
      </c>
      <c r="H13" s="3"/>
    </row>
    <row r="14" spans="1:8" ht="28">
      <c r="A14" s="38"/>
      <c r="B14" s="3">
        <v>13</v>
      </c>
      <c r="C14" s="36" t="s">
        <v>13</v>
      </c>
      <c r="D14" s="36"/>
      <c r="E14" s="4">
        <v>0.25</v>
      </c>
      <c r="F14" s="9" t="s">
        <v>40</v>
      </c>
      <c r="G14" s="10" t="s">
        <v>54</v>
      </c>
      <c r="H14" s="3"/>
    </row>
    <row r="15" spans="1:8" ht="42">
      <c r="A15" s="38"/>
      <c r="B15" s="3">
        <v>14</v>
      </c>
      <c r="C15" s="36" t="s">
        <v>17</v>
      </c>
      <c r="D15" s="36"/>
      <c r="E15" s="4">
        <v>6</v>
      </c>
      <c r="F15" s="9" t="s">
        <v>41</v>
      </c>
      <c r="G15" s="3" t="s">
        <v>55</v>
      </c>
      <c r="H15" s="3" t="s">
        <v>68</v>
      </c>
    </row>
    <row r="16" spans="1:8" ht="42">
      <c r="A16" s="38"/>
      <c r="B16" s="3">
        <v>15</v>
      </c>
      <c r="C16" s="36" t="s">
        <v>18</v>
      </c>
      <c r="D16" s="36"/>
      <c r="E16" s="4">
        <v>5</v>
      </c>
      <c r="F16" s="9" t="s">
        <v>42</v>
      </c>
      <c r="G16" s="3" t="s">
        <v>57</v>
      </c>
      <c r="H16" s="3"/>
    </row>
    <row r="17" spans="1:8" ht="28">
      <c r="A17" s="38"/>
      <c r="B17" s="3">
        <v>16</v>
      </c>
      <c r="C17" s="36" t="s">
        <v>19</v>
      </c>
      <c r="D17" s="36"/>
      <c r="E17" s="4">
        <v>10</v>
      </c>
      <c r="F17" s="9" t="s">
        <v>43</v>
      </c>
      <c r="G17" s="3" t="s">
        <v>58</v>
      </c>
      <c r="H17" s="3"/>
    </row>
    <row r="18" spans="1:8" ht="28">
      <c r="A18" s="38"/>
      <c r="B18" s="3">
        <v>17</v>
      </c>
      <c r="C18" s="36" t="s">
        <v>20</v>
      </c>
      <c r="D18" s="36"/>
      <c r="E18" s="4">
        <v>4</v>
      </c>
      <c r="F18" s="9" t="s">
        <v>44</v>
      </c>
      <c r="G18" s="10" t="s">
        <v>54</v>
      </c>
      <c r="H18" s="3"/>
    </row>
    <row r="19" spans="1:8" ht="46.5">
      <c r="A19" s="38"/>
      <c r="B19" s="3">
        <v>18</v>
      </c>
      <c r="C19" s="36" t="s">
        <v>21</v>
      </c>
      <c r="D19" s="36"/>
      <c r="E19" s="4">
        <v>5</v>
      </c>
      <c r="F19" s="13" t="s">
        <v>61</v>
      </c>
      <c r="G19" s="10" t="s">
        <v>54</v>
      </c>
      <c r="H19" s="3"/>
    </row>
    <row r="20" spans="1:8">
      <c r="A20" s="38"/>
      <c r="B20" s="3">
        <v>19</v>
      </c>
      <c r="C20" s="36" t="s">
        <v>22</v>
      </c>
      <c r="D20" s="36"/>
      <c r="E20" s="4">
        <v>5</v>
      </c>
      <c r="F20" s="9"/>
      <c r="G20" s="10" t="s">
        <v>54</v>
      </c>
      <c r="H20" s="3"/>
    </row>
    <row r="21" spans="1:8" ht="46.5">
      <c r="A21" s="38"/>
      <c r="B21" s="3">
        <v>20</v>
      </c>
      <c r="C21" s="36" t="s">
        <v>23</v>
      </c>
      <c r="D21" s="36"/>
      <c r="E21" s="4">
        <v>3</v>
      </c>
      <c r="F21" s="13" t="s">
        <v>64</v>
      </c>
      <c r="G21" s="10" t="s">
        <v>54</v>
      </c>
      <c r="H21" s="3"/>
    </row>
    <row r="22" spans="1:8" ht="46.5">
      <c r="A22" s="38"/>
      <c r="B22" s="3">
        <v>21</v>
      </c>
      <c r="C22" s="36" t="s">
        <v>24</v>
      </c>
      <c r="D22" s="36"/>
      <c r="E22" s="4">
        <v>10</v>
      </c>
      <c r="F22" s="13" t="s">
        <v>63</v>
      </c>
      <c r="G22" s="10" t="s">
        <v>54</v>
      </c>
      <c r="H22" s="3"/>
    </row>
    <row r="23" spans="1:8" ht="31">
      <c r="A23" s="38"/>
      <c r="B23" s="3">
        <v>22</v>
      </c>
      <c r="C23" s="36" t="s">
        <v>25</v>
      </c>
      <c r="D23" s="36"/>
      <c r="E23" s="4">
        <v>3</v>
      </c>
      <c r="F23" s="13" t="s">
        <v>62</v>
      </c>
      <c r="G23" s="10" t="s">
        <v>54</v>
      </c>
      <c r="H23" s="3"/>
    </row>
    <row r="24" spans="1:8">
      <c r="A24" s="39"/>
      <c r="B24" s="3">
        <v>23</v>
      </c>
      <c r="C24" s="36" t="s">
        <v>26</v>
      </c>
      <c r="D24" s="36"/>
      <c r="E24" s="4">
        <v>1</v>
      </c>
      <c r="F24" s="9"/>
      <c r="G24" s="10" t="s">
        <v>54</v>
      </c>
      <c r="H24" s="3"/>
    </row>
    <row r="25" spans="1:8">
      <c r="B25" s="3">
        <v>24</v>
      </c>
      <c r="C25" s="36" t="s">
        <v>59</v>
      </c>
      <c r="D25" s="36"/>
      <c r="E25" s="10">
        <v>4</v>
      </c>
      <c r="F25" s="9"/>
      <c r="G25" s="10" t="s">
        <v>54</v>
      </c>
      <c r="H25" s="3"/>
    </row>
    <row r="26" spans="1:8">
      <c r="B26" s="3">
        <v>25</v>
      </c>
      <c r="C26" s="36" t="s">
        <v>60</v>
      </c>
      <c r="D26" s="36"/>
      <c r="E26" s="10">
        <v>5</v>
      </c>
      <c r="F26" s="9"/>
      <c r="G26" s="10" t="s">
        <v>54</v>
      </c>
      <c r="H26" s="3"/>
    </row>
  </sheetData>
  <mergeCells count="27">
    <mergeCell ref="C1:D1"/>
    <mergeCell ref="C2:D2"/>
    <mergeCell ref="C4:D4"/>
    <mergeCell ref="C5:D5"/>
    <mergeCell ref="C6:D6"/>
    <mergeCell ref="C3:D3"/>
    <mergeCell ref="C13:D13"/>
    <mergeCell ref="C7:D7"/>
    <mergeCell ref="C8:D8"/>
    <mergeCell ref="C9:D9"/>
    <mergeCell ref="C10:D10"/>
    <mergeCell ref="C25:D25"/>
    <mergeCell ref="C26:D26"/>
    <mergeCell ref="C24:D24"/>
    <mergeCell ref="A2:A24"/>
    <mergeCell ref="C20:D20"/>
    <mergeCell ref="C21:D21"/>
    <mergeCell ref="C22:D22"/>
    <mergeCell ref="C23:D23"/>
    <mergeCell ref="C15:D15"/>
    <mergeCell ref="C16:D16"/>
    <mergeCell ref="C17:D17"/>
    <mergeCell ref="C18:D18"/>
    <mergeCell ref="C19:D19"/>
    <mergeCell ref="C14:D14"/>
    <mergeCell ref="C11:D11"/>
    <mergeCell ref="C12:D12"/>
  </mergeCells>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0"/>
  <sheetViews>
    <sheetView tabSelected="1" workbookViewId="0">
      <pane xSplit="4" ySplit="2" topLeftCell="E21" activePane="bottomRight" state="frozen"/>
      <selection pane="topRight" activeCell="D1" sqref="D1"/>
      <selection pane="bottomLeft" activeCell="A3" sqref="A3"/>
      <selection pane="bottomRight" activeCell="A3" sqref="A3:A28"/>
    </sheetView>
  </sheetViews>
  <sheetFormatPr defaultColWidth="8.58203125" defaultRowHeight="11.5"/>
  <cols>
    <col min="1" max="1" width="6.08203125" style="17" customWidth="1"/>
    <col min="2" max="2" width="25.33203125" style="17" customWidth="1"/>
    <col min="3" max="3" width="8.58203125" style="17"/>
    <col min="4" max="4" width="21.33203125" style="17" customWidth="1"/>
    <col min="5" max="5" width="8.58203125" style="17"/>
    <col min="6" max="6" width="11.33203125" style="17" customWidth="1"/>
    <col min="7" max="18" width="7.58203125" style="17" customWidth="1"/>
    <col min="19" max="19" width="28" style="17" hidden="1" customWidth="1"/>
    <col min="20" max="16384" width="8.58203125" style="17"/>
  </cols>
  <sheetData>
    <row r="1" spans="1:19" ht="37.5" customHeight="1">
      <c r="A1" s="55" t="s">
        <v>100</v>
      </c>
      <c r="B1" s="55"/>
      <c r="C1" s="55"/>
      <c r="D1" s="55"/>
      <c r="E1" s="55"/>
      <c r="F1" s="55"/>
      <c r="G1" s="55"/>
      <c r="H1" s="55"/>
      <c r="I1" s="55"/>
      <c r="J1" s="55"/>
      <c r="K1" s="55"/>
      <c r="L1" s="55"/>
      <c r="M1" s="55"/>
      <c r="N1" s="55"/>
      <c r="O1" s="55"/>
      <c r="P1" s="55"/>
      <c r="Q1" s="55"/>
      <c r="R1" s="55"/>
    </row>
    <row r="2" spans="1:19" ht="23">
      <c r="A2" s="14" t="s">
        <v>14</v>
      </c>
      <c r="B2" s="21"/>
      <c r="C2" s="56" t="s">
        <v>1</v>
      </c>
      <c r="D2" s="57"/>
      <c r="E2" s="15" t="s">
        <v>28</v>
      </c>
      <c r="F2" s="15" t="s">
        <v>81</v>
      </c>
      <c r="G2" s="15" t="s">
        <v>70</v>
      </c>
      <c r="H2" s="15" t="s">
        <v>71</v>
      </c>
      <c r="I2" s="15" t="s">
        <v>72</v>
      </c>
      <c r="J2" s="15" t="s">
        <v>73</v>
      </c>
      <c r="K2" s="15" t="s">
        <v>74</v>
      </c>
      <c r="L2" s="15" t="s">
        <v>75</v>
      </c>
      <c r="M2" s="15" t="s">
        <v>76</v>
      </c>
      <c r="N2" s="15" t="s">
        <v>77</v>
      </c>
      <c r="O2" s="15" t="s">
        <v>78</v>
      </c>
      <c r="P2" s="15" t="s">
        <v>79</v>
      </c>
      <c r="Q2" s="15" t="s">
        <v>80</v>
      </c>
      <c r="R2" s="15" t="s">
        <v>88</v>
      </c>
      <c r="S2" s="16" t="s">
        <v>27</v>
      </c>
    </row>
    <row r="3" spans="1:19" ht="20.149999999999999" customHeight="1">
      <c r="A3" s="22">
        <v>1</v>
      </c>
      <c r="B3" s="22" t="s">
        <v>89</v>
      </c>
      <c r="C3" s="58" t="s">
        <v>93</v>
      </c>
      <c r="D3" s="58"/>
      <c r="E3" s="23">
        <v>40</v>
      </c>
      <c r="F3" s="23">
        <v>160</v>
      </c>
      <c r="G3" s="27">
        <f>160*28</f>
        <v>4480</v>
      </c>
      <c r="H3" s="27">
        <f>160*28</f>
        <v>4480</v>
      </c>
      <c r="I3" s="31">
        <f>E3*1*30/0.2</f>
        <v>6000</v>
      </c>
      <c r="J3" s="31">
        <f>E3*1*31/0.2</f>
        <v>6200</v>
      </c>
      <c r="K3" s="31">
        <f>E3*1*30/0.2</f>
        <v>6000</v>
      </c>
      <c r="L3" s="31">
        <f>E3*1*31/0.2</f>
        <v>6200</v>
      </c>
      <c r="M3" s="31">
        <f>E3*1*31/0.2</f>
        <v>6200</v>
      </c>
      <c r="N3" s="31">
        <f>E3*1*30/0.2</f>
        <v>6000</v>
      </c>
      <c r="O3" s="31">
        <f>E3*1*31/0.2</f>
        <v>6200</v>
      </c>
      <c r="P3" s="31">
        <f>E3*1*30/0.2</f>
        <v>6000</v>
      </c>
      <c r="Q3" s="31">
        <f>E3*1*31/0.2</f>
        <v>6200</v>
      </c>
      <c r="R3" s="27">
        <f>SUM(G3:Q3)</f>
        <v>63960</v>
      </c>
      <c r="S3" s="18" t="s">
        <v>29</v>
      </c>
    </row>
    <row r="4" spans="1:19" ht="20.149999999999999" customHeight="1">
      <c r="A4" s="22">
        <v>2</v>
      </c>
      <c r="B4" s="59" t="s">
        <v>90</v>
      </c>
      <c r="C4" s="46" t="s">
        <v>4</v>
      </c>
      <c r="D4" s="46"/>
      <c r="E4" s="23">
        <v>5</v>
      </c>
      <c r="F4" s="23">
        <v>30</v>
      </c>
      <c r="G4" s="27" t="s">
        <v>84</v>
      </c>
      <c r="H4" s="27" t="s">
        <v>85</v>
      </c>
      <c r="I4" s="27">
        <f>E4*0.5*30/0.2</f>
        <v>375</v>
      </c>
      <c r="J4" s="27">
        <f>E4*0.7*31/0.2</f>
        <v>542.5</v>
      </c>
      <c r="K4" s="27">
        <f>E4*0.7*30/0.2</f>
        <v>525</v>
      </c>
      <c r="L4" s="31">
        <f>E4*0.8*31/0.2</f>
        <v>620</v>
      </c>
      <c r="M4" s="31">
        <f>E4*0.8*31/0.2</f>
        <v>620</v>
      </c>
      <c r="N4" s="31">
        <f>E4*1*30/0.2</f>
        <v>750</v>
      </c>
      <c r="O4" s="31">
        <f>E4*1*31/0.2</f>
        <v>775</v>
      </c>
      <c r="P4" s="31">
        <f>E4*1*30/0.2</f>
        <v>750</v>
      </c>
      <c r="Q4" s="31">
        <f>E4*1*31/0.2</f>
        <v>775</v>
      </c>
      <c r="R4" s="27">
        <f t="shared" ref="R4:R24" si="0">SUM(G4:Q4)</f>
        <v>5732.5</v>
      </c>
      <c r="S4" s="18" t="s">
        <v>32</v>
      </c>
    </row>
    <row r="5" spans="1:19" ht="20.149999999999999" customHeight="1">
      <c r="A5" s="35">
        <v>3</v>
      </c>
      <c r="B5" s="60"/>
      <c r="C5" s="46" t="s">
        <v>7</v>
      </c>
      <c r="D5" s="46"/>
      <c r="E5" s="23">
        <v>3</v>
      </c>
      <c r="F5" s="23">
        <v>25</v>
      </c>
      <c r="G5" s="27">
        <f>E5*0.2/0.2*28</f>
        <v>84.000000000000014</v>
      </c>
      <c r="H5" s="27">
        <f>E5*0.5*31/0.2</f>
        <v>232.5</v>
      </c>
      <c r="I5" s="27">
        <f>E5*0.5*30/0.2</f>
        <v>225</v>
      </c>
      <c r="J5" s="27">
        <f>E5*0.7*31/0.2</f>
        <v>325.49999999999994</v>
      </c>
      <c r="K5" s="27">
        <f>E5*0.8*30/0.2</f>
        <v>360.00000000000006</v>
      </c>
      <c r="L5" s="31">
        <f>E5*1*31/0.2</f>
        <v>465</v>
      </c>
      <c r="M5" s="31">
        <f>E5*1*31/0.2</f>
        <v>465</v>
      </c>
      <c r="N5" s="31">
        <f>E5*1*30/0.2</f>
        <v>450</v>
      </c>
      <c r="O5" s="31">
        <f>E5*1*31/0.2</f>
        <v>465</v>
      </c>
      <c r="P5" s="31">
        <f>E5*1*30/0.2</f>
        <v>450</v>
      </c>
      <c r="Q5" s="31">
        <f>E5*1*31/0.2</f>
        <v>465</v>
      </c>
      <c r="R5" s="27">
        <f t="shared" si="0"/>
        <v>3987</v>
      </c>
      <c r="S5" s="18" t="s">
        <v>34</v>
      </c>
    </row>
    <row r="6" spans="1:19" ht="20.149999999999999" customHeight="1">
      <c r="A6" s="35">
        <v>4</v>
      </c>
      <c r="B6" s="60"/>
      <c r="C6" s="46" t="s">
        <v>6</v>
      </c>
      <c r="D6" s="46"/>
      <c r="E6" s="23">
        <v>4</v>
      </c>
      <c r="F6" s="23">
        <v>60</v>
      </c>
      <c r="G6" s="27">
        <f>F6*28*0.8</f>
        <v>1344</v>
      </c>
      <c r="H6" s="27">
        <f>E6*1*31/0.2</f>
        <v>620</v>
      </c>
      <c r="I6" s="27">
        <f>E6*1*30/0.2</f>
        <v>600</v>
      </c>
      <c r="J6" s="27">
        <f>E6*1*31/0.2</f>
        <v>620</v>
      </c>
      <c r="K6" s="27">
        <f>E6*1*30/0.2</f>
        <v>600</v>
      </c>
      <c r="L6" s="31">
        <f>E6*1*31/0.2</f>
        <v>620</v>
      </c>
      <c r="M6" s="31">
        <f>E6*1*31/0.2</f>
        <v>620</v>
      </c>
      <c r="N6" s="31">
        <f>E6*1*30/0.2</f>
        <v>600</v>
      </c>
      <c r="O6" s="31">
        <f>E6*1*31/0.2</f>
        <v>620</v>
      </c>
      <c r="P6" s="31">
        <f>E6*1*30/0.2</f>
        <v>600</v>
      </c>
      <c r="Q6" s="31">
        <f>E6*1*31/0.2</f>
        <v>620</v>
      </c>
      <c r="R6" s="27">
        <f t="shared" si="0"/>
        <v>7464</v>
      </c>
      <c r="S6" s="18"/>
    </row>
    <row r="7" spans="1:19" ht="20.149999999999999" customHeight="1">
      <c r="A7" s="35">
        <v>5</v>
      </c>
      <c r="B7" s="60"/>
      <c r="C7" s="46" t="s">
        <v>17</v>
      </c>
      <c r="D7" s="46"/>
      <c r="E7" s="23">
        <v>6</v>
      </c>
      <c r="F7" s="23">
        <v>75</v>
      </c>
      <c r="G7" s="27">
        <f>75*28*0.8</f>
        <v>1680</v>
      </c>
      <c r="H7" s="27">
        <f>E7*1*31/0.2</f>
        <v>930</v>
      </c>
      <c r="I7" s="27">
        <f>E7*1*30/0.2</f>
        <v>900</v>
      </c>
      <c r="J7" s="27">
        <f>E7*1*31/0.2</f>
        <v>930</v>
      </c>
      <c r="K7" s="27">
        <f>E7*1*30/0.2</f>
        <v>900</v>
      </c>
      <c r="L7" s="31">
        <f>E7*1*31/0.2</f>
        <v>930</v>
      </c>
      <c r="M7" s="31">
        <f>E7*1*31/0.2</f>
        <v>930</v>
      </c>
      <c r="N7" s="31">
        <f>E7*1*30/0.2</f>
        <v>900</v>
      </c>
      <c r="O7" s="31">
        <f>E7*1*31/0.2</f>
        <v>930</v>
      </c>
      <c r="P7" s="31">
        <f>E7*1*30/0.2</f>
        <v>900</v>
      </c>
      <c r="Q7" s="31">
        <f>E7*1*31/0.2</f>
        <v>930</v>
      </c>
      <c r="R7" s="27">
        <f t="shared" si="0"/>
        <v>10860</v>
      </c>
      <c r="S7" s="18"/>
    </row>
    <row r="8" spans="1:19" ht="20.149999999999999" customHeight="1">
      <c r="A8" s="35">
        <v>6</v>
      </c>
      <c r="B8" s="60"/>
      <c r="C8" s="46" t="s">
        <v>9</v>
      </c>
      <c r="D8" s="46"/>
      <c r="E8" s="23">
        <v>5</v>
      </c>
      <c r="F8" s="22" t="s">
        <v>83</v>
      </c>
      <c r="G8" s="27">
        <f>75*28*0.8</f>
        <v>1680</v>
      </c>
      <c r="H8" s="27">
        <f>E8*1.5*31/0.2</f>
        <v>1162.5</v>
      </c>
      <c r="I8" s="27">
        <f>E8*1.5*30/0.2</f>
        <v>1125</v>
      </c>
      <c r="J8" s="27">
        <f>E8*1.5*31/0.2</f>
        <v>1162.5</v>
      </c>
      <c r="K8" s="27">
        <f>E8*1.5*30/0.2</f>
        <v>1125</v>
      </c>
      <c r="L8" s="31">
        <f>E8*1.5*31/0.2</f>
        <v>1162.5</v>
      </c>
      <c r="M8" s="31">
        <f>E8*1.5*31/0.2</f>
        <v>1162.5</v>
      </c>
      <c r="N8" s="31">
        <f>E8*1.5*30/0.2</f>
        <v>1125</v>
      </c>
      <c r="O8" s="31">
        <f>E8*1.5*31/0.2</f>
        <v>1162.5</v>
      </c>
      <c r="P8" s="31">
        <f>E8*1.5*30/0.2</f>
        <v>1125</v>
      </c>
      <c r="Q8" s="31">
        <f>E8*1.5*31/0.2</f>
        <v>1162.5</v>
      </c>
      <c r="R8" s="27">
        <f t="shared" si="0"/>
        <v>13155</v>
      </c>
      <c r="S8" s="18" t="s">
        <v>36</v>
      </c>
    </row>
    <row r="9" spans="1:19" ht="20.149999999999999" customHeight="1">
      <c r="A9" s="35">
        <v>7</v>
      </c>
      <c r="B9" s="60"/>
      <c r="C9" s="46" t="s">
        <v>10</v>
      </c>
      <c r="D9" s="46"/>
      <c r="E9" s="23">
        <v>4</v>
      </c>
      <c r="F9" s="23" t="s">
        <v>82</v>
      </c>
      <c r="G9" s="27">
        <f>18*28</f>
        <v>504</v>
      </c>
      <c r="H9" s="27">
        <f>18*28</f>
        <v>504</v>
      </c>
      <c r="I9" s="27">
        <v>504</v>
      </c>
      <c r="J9" s="27">
        <v>504</v>
      </c>
      <c r="K9" s="27">
        <v>504</v>
      </c>
      <c r="L9" s="31">
        <v>504</v>
      </c>
      <c r="M9" s="31">
        <v>504</v>
      </c>
      <c r="N9" s="31">
        <v>504</v>
      </c>
      <c r="O9" s="31">
        <v>504</v>
      </c>
      <c r="P9" s="31">
        <v>504</v>
      </c>
      <c r="Q9" s="31">
        <v>504</v>
      </c>
      <c r="R9" s="27">
        <f t="shared" si="0"/>
        <v>5544</v>
      </c>
      <c r="S9" s="18" t="s">
        <v>37</v>
      </c>
    </row>
    <row r="10" spans="1:19" ht="20.149999999999999" customHeight="1">
      <c r="A10" s="35">
        <v>8</v>
      </c>
      <c r="B10" s="60"/>
      <c r="C10" s="46" t="s">
        <v>94</v>
      </c>
      <c r="D10" s="46"/>
      <c r="E10" s="23">
        <v>2</v>
      </c>
      <c r="F10" s="23">
        <v>19</v>
      </c>
      <c r="G10" s="27">
        <f>19*28</f>
        <v>532</v>
      </c>
      <c r="H10" s="27">
        <f>E10*1.3*31/0.2</f>
        <v>403</v>
      </c>
      <c r="I10" s="27">
        <f>E10*1.3*30/0.2</f>
        <v>390</v>
      </c>
      <c r="J10" s="27">
        <f>E10*1.3*31/0.2</f>
        <v>403</v>
      </c>
      <c r="K10" s="27">
        <f>E10*1.3*30/0.2</f>
        <v>390</v>
      </c>
      <c r="L10" s="31">
        <f>E10*1.3*31/0.2</f>
        <v>403</v>
      </c>
      <c r="M10" s="31">
        <f>E10*1.3*31/0.2</f>
        <v>403</v>
      </c>
      <c r="N10" s="31">
        <f>E10*1.3*30/0.2</f>
        <v>390</v>
      </c>
      <c r="O10" s="31">
        <f>E10*1.3*31/0.2</f>
        <v>403</v>
      </c>
      <c r="P10" s="31">
        <f>E10*1.3*30/0.2</f>
        <v>390</v>
      </c>
      <c r="Q10" s="31">
        <f>E10*1.3*31/0.2</f>
        <v>403</v>
      </c>
      <c r="R10" s="27">
        <f t="shared" si="0"/>
        <v>4510</v>
      </c>
      <c r="S10" s="18" t="s">
        <v>30</v>
      </c>
    </row>
    <row r="11" spans="1:19" ht="20.149999999999999" customHeight="1">
      <c r="A11" s="35">
        <v>9</v>
      </c>
      <c r="B11" s="60"/>
      <c r="C11" s="46" t="s">
        <v>20</v>
      </c>
      <c r="D11" s="46"/>
      <c r="E11" s="23">
        <v>4</v>
      </c>
      <c r="F11" s="23"/>
      <c r="G11" s="27" t="s">
        <v>86</v>
      </c>
      <c r="H11" s="27" t="s">
        <v>86</v>
      </c>
      <c r="I11" s="27" t="s">
        <v>86</v>
      </c>
      <c r="J11" s="27">
        <f>E11*0.3*31/0.2</f>
        <v>185.99999999999997</v>
      </c>
      <c r="K11" s="27">
        <f>E11*0.5*30/0.2</f>
        <v>300</v>
      </c>
      <c r="L11" s="31">
        <f>E11*0.7*31/0.2</f>
        <v>433.99999999999994</v>
      </c>
      <c r="M11" s="31">
        <f>E11*0.7*31/0.2</f>
        <v>433.99999999999994</v>
      </c>
      <c r="N11" s="31">
        <f>E11*0.7*30/0.2</f>
        <v>420</v>
      </c>
      <c r="O11" s="31">
        <f>E11*0.7*31/0.2</f>
        <v>433.99999999999994</v>
      </c>
      <c r="P11" s="31">
        <f>E11*0.7*30/0.2</f>
        <v>420</v>
      </c>
      <c r="Q11" s="31">
        <f>E11*0.7*31/0.2</f>
        <v>433.99999999999994</v>
      </c>
      <c r="R11" s="27">
        <f t="shared" si="0"/>
        <v>3062</v>
      </c>
      <c r="S11" s="18" t="s">
        <v>44</v>
      </c>
    </row>
    <row r="12" spans="1:19" ht="20.149999999999999" customHeight="1">
      <c r="A12" s="35">
        <v>10</v>
      </c>
      <c r="B12" s="60"/>
      <c r="C12" s="46" t="s">
        <v>24</v>
      </c>
      <c r="D12" s="46"/>
      <c r="E12" s="23">
        <v>10</v>
      </c>
      <c r="F12" s="23"/>
      <c r="G12" s="27" t="s">
        <v>86</v>
      </c>
      <c r="H12" s="27" t="s">
        <v>86</v>
      </c>
      <c r="I12" s="27">
        <f>E12*0.5*30/0.2</f>
        <v>750</v>
      </c>
      <c r="J12" s="27">
        <f>E12*0.7*31/0.2</f>
        <v>1085</v>
      </c>
      <c r="K12" s="27">
        <f>E12*0.8*30/0.2</f>
        <v>1200</v>
      </c>
      <c r="L12" s="31">
        <f>E12*0.8*31/0.2</f>
        <v>1240</v>
      </c>
      <c r="M12" s="31">
        <f>E12*1*31/0.2</f>
        <v>1550</v>
      </c>
      <c r="N12" s="31">
        <f>E12*1*30/0.2</f>
        <v>1500</v>
      </c>
      <c r="O12" s="31">
        <f>E12*1*31/0.2</f>
        <v>1550</v>
      </c>
      <c r="P12" s="31">
        <f>E12*1*30/0.2</f>
        <v>1500</v>
      </c>
      <c r="Q12" s="31">
        <f>E12*1*31/0.2</f>
        <v>1550</v>
      </c>
      <c r="R12" s="27">
        <f t="shared" si="0"/>
        <v>11925</v>
      </c>
      <c r="S12" s="19" t="s">
        <v>63</v>
      </c>
    </row>
    <row r="13" spans="1:19" ht="20.149999999999999" customHeight="1">
      <c r="A13" s="35">
        <v>11</v>
      </c>
      <c r="B13" s="61"/>
      <c r="C13" s="51" t="s">
        <v>60</v>
      </c>
      <c r="D13" s="51"/>
      <c r="E13" s="26">
        <v>5</v>
      </c>
      <c r="F13" s="23"/>
      <c r="G13" s="27" t="s">
        <v>85</v>
      </c>
      <c r="H13" s="27" t="s">
        <v>85</v>
      </c>
      <c r="I13" s="27" t="s">
        <v>85</v>
      </c>
      <c r="J13" s="27" t="s">
        <v>85</v>
      </c>
      <c r="K13" s="27" t="s">
        <v>85</v>
      </c>
      <c r="L13" s="31">
        <v>60</v>
      </c>
      <c r="M13" s="31">
        <v>60</v>
      </c>
      <c r="N13" s="31">
        <v>60</v>
      </c>
      <c r="O13" s="31">
        <v>60</v>
      </c>
      <c r="P13" s="31">
        <v>60</v>
      </c>
      <c r="Q13" s="31">
        <v>60</v>
      </c>
      <c r="R13" s="27">
        <f t="shared" si="0"/>
        <v>360</v>
      </c>
      <c r="S13" s="18"/>
    </row>
    <row r="14" spans="1:19" ht="20.149999999999999" customHeight="1">
      <c r="A14" s="35">
        <v>12</v>
      </c>
      <c r="B14" s="59" t="s">
        <v>91</v>
      </c>
      <c r="C14" s="46" t="s">
        <v>11</v>
      </c>
      <c r="D14" s="46"/>
      <c r="E14" s="23">
        <v>10</v>
      </c>
      <c r="F14" s="23">
        <v>80</v>
      </c>
      <c r="G14" s="27">
        <f>F14*28*0.8</f>
        <v>1792</v>
      </c>
      <c r="H14" s="27">
        <f>E14*0.7*31/0.2</f>
        <v>1085</v>
      </c>
      <c r="I14" s="27">
        <f>E14*0.7*30/0.2</f>
        <v>1050</v>
      </c>
      <c r="J14" s="27">
        <f>E14*0.7*31/0.2</f>
        <v>1085</v>
      </c>
      <c r="K14" s="27">
        <f>E14*0.7*30/0.2</f>
        <v>1050</v>
      </c>
      <c r="L14" s="27">
        <f>E14*0.7*31/0.2</f>
        <v>1085</v>
      </c>
      <c r="M14" s="27">
        <f>E14*0.7*31/0.2</f>
        <v>1085</v>
      </c>
      <c r="N14" s="27">
        <f>E14*0.7*30/0.2</f>
        <v>1050</v>
      </c>
      <c r="O14" s="31">
        <f>E14*0.7*31/0.2</f>
        <v>1085</v>
      </c>
      <c r="P14" s="31">
        <f>E14*0.8*30/0.2</f>
        <v>1200</v>
      </c>
      <c r="Q14" s="31">
        <f>E14*0.8*31/0.2</f>
        <v>1240</v>
      </c>
      <c r="R14" s="27">
        <f t="shared" si="0"/>
        <v>12807</v>
      </c>
      <c r="S14" s="18" t="s">
        <v>38</v>
      </c>
    </row>
    <row r="15" spans="1:19" ht="20.149999999999999" customHeight="1">
      <c r="A15" s="35">
        <v>13</v>
      </c>
      <c r="B15" s="60"/>
      <c r="C15" s="46" t="s">
        <v>19</v>
      </c>
      <c r="D15" s="46"/>
      <c r="E15" s="23">
        <v>10</v>
      </c>
      <c r="F15" s="23">
        <v>80</v>
      </c>
      <c r="G15" s="27">
        <f>F15*28*0.8</f>
        <v>1792</v>
      </c>
      <c r="H15" s="27">
        <f>E15*0.8*31/0.2</f>
        <v>1240</v>
      </c>
      <c r="I15" s="27">
        <f>E15*0.7*30/0.2</f>
        <v>1050</v>
      </c>
      <c r="J15" s="27">
        <f>E15*0.8*31/0.2</f>
        <v>1240</v>
      </c>
      <c r="K15" s="27">
        <f>E15*0.8*30/0.2</f>
        <v>1200</v>
      </c>
      <c r="L15" s="27">
        <f>E15*0.8*31/0.2</f>
        <v>1240</v>
      </c>
      <c r="M15" s="27">
        <f>E15*0.9*31/0.2</f>
        <v>1395</v>
      </c>
      <c r="N15" s="27">
        <f>E15*0.9*30/0.2</f>
        <v>1350</v>
      </c>
      <c r="O15" s="31">
        <f>E15*0.9*31/0.2</f>
        <v>1395</v>
      </c>
      <c r="P15" s="31">
        <f>E15*0.9*30/0.2</f>
        <v>1350</v>
      </c>
      <c r="Q15" s="31">
        <f>E15*0.9*31/0.2</f>
        <v>1395</v>
      </c>
      <c r="R15" s="27">
        <f t="shared" si="0"/>
        <v>14647</v>
      </c>
      <c r="S15" s="18" t="s">
        <v>43</v>
      </c>
    </row>
    <row r="16" spans="1:19" ht="20.149999999999999" customHeight="1">
      <c r="A16" s="35">
        <v>14</v>
      </c>
      <c r="B16" s="61"/>
      <c r="C16" s="46" t="s">
        <v>8</v>
      </c>
      <c r="D16" s="46"/>
      <c r="E16" s="23">
        <v>20</v>
      </c>
      <c r="F16" s="23">
        <v>160</v>
      </c>
      <c r="G16" s="27">
        <f>F16*28*0.7</f>
        <v>3136</v>
      </c>
      <c r="H16" s="27">
        <f>E16*1*31/0.2</f>
        <v>3100</v>
      </c>
      <c r="I16" s="27">
        <f>E16*1*30/0.2</f>
        <v>3000</v>
      </c>
      <c r="J16" s="27">
        <f>E16*1*31/0.2</f>
        <v>3100</v>
      </c>
      <c r="K16" s="27">
        <f>E16*1*30/0.2</f>
        <v>3000</v>
      </c>
      <c r="L16" s="27">
        <f>E16*1*31/0.2</f>
        <v>3100</v>
      </c>
      <c r="M16" s="27">
        <f>E16*1*31/0.2</f>
        <v>3100</v>
      </c>
      <c r="N16" s="27">
        <f>E16*1*30/0.2</f>
        <v>3000</v>
      </c>
      <c r="O16" s="31">
        <f>E16*1*31/0.2</f>
        <v>3100</v>
      </c>
      <c r="P16" s="31">
        <f>E16*1*30/0.2</f>
        <v>3000</v>
      </c>
      <c r="Q16" s="31">
        <f>E16*1*31/0.2</f>
        <v>3100</v>
      </c>
      <c r="R16" s="27">
        <f t="shared" si="0"/>
        <v>33736</v>
      </c>
      <c r="S16" s="18" t="s">
        <v>35</v>
      </c>
    </row>
    <row r="17" spans="1:19" ht="20.149999999999999" customHeight="1">
      <c r="A17" s="35">
        <v>15</v>
      </c>
      <c r="B17" s="59" t="s">
        <v>92</v>
      </c>
      <c r="C17" s="46" t="s">
        <v>69</v>
      </c>
      <c r="D17" s="46"/>
      <c r="E17" s="23">
        <v>5</v>
      </c>
      <c r="F17" s="23">
        <v>50</v>
      </c>
      <c r="G17" s="27">
        <f>F17*28*0.8</f>
        <v>1120</v>
      </c>
      <c r="H17" s="27">
        <f>E17*1*31/0.2</f>
        <v>775</v>
      </c>
      <c r="I17" s="27">
        <f>E17*1.2*30/0.2</f>
        <v>900</v>
      </c>
      <c r="J17" s="27">
        <f>E17*1.2*31/0.2</f>
        <v>930</v>
      </c>
      <c r="K17" s="27">
        <f>E17*1.2*30/0.2</f>
        <v>900</v>
      </c>
      <c r="L17" s="27">
        <f>E17*1.2*31/0.2</f>
        <v>930</v>
      </c>
      <c r="M17" s="27">
        <f>E17*1.2*31/0.2</f>
        <v>930</v>
      </c>
      <c r="N17" s="27">
        <f>E17*1.2*30/0.2</f>
        <v>900</v>
      </c>
      <c r="O17" s="27">
        <f>E17*1.2*31/0.2</f>
        <v>930</v>
      </c>
      <c r="P17" s="27">
        <f>E17*1.2*30/0.2</f>
        <v>900</v>
      </c>
      <c r="Q17" s="27">
        <f>E17*1.2*31/0.2</f>
        <v>930</v>
      </c>
      <c r="R17" s="27">
        <f t="shared" si="0"/>
        <v>10145</v>
      </c>
      <c r="S17" s="18" t="s">
        <v>42</v>
      </c>
    </row>
    <row r="18" spans="1:19" ht="20.149999999999999" customHeight="1">
      <c r="A18" s="35">
        <v>16</v>
      </c>
      <c r="B18" s="60"/>
      <c r="C18" s="46" t="s">
        <v>3</v>
      </c>
      <c r="D18" s="46"/>
      <c r="E18" s="23">
        <v>10</v>
      </c>
      <c r="F18" s="23">
        <v>80</v>
      </c>
      <c r="G18" s="27">
        <f>F18*28*0.8</f>
        <v>1792</v>
      </c>
      <c r="H18" s="27">
        <f>E18*0.8*31/0.2</f>
        <v>1240</v>
      </c>
      <c r="I18" s="27">
        <f>E18*0.8*30/0.2</f>
        <v>1200</v>
      </c>
      <c r="J18" s="27">
        <f>E18*0.8*31/0.2</f>
        <v>1240</v>
      </c>
      <c r="K18" s="27">
        <f>E18*0.8*30/0.2</f>
        <v>1200</v>
      </c>
      <c r="L18" s="27">
        <f>E18*0.8*31/0.2</f>
        <v>1240</v>
      </c>
      <c r="M18" s="27">
        <f>E18*0.8*31/0.2</f>
        <v>1240</v>
      </c>
      <c r="N18" s="27">
        <f>E18*0.8*30/0.2</f>
        <v>1200</v>
      </c>
      <c r="O18" s="27">
        <f>E18*0.9*31/0.2</f>
        <v>1395</v>
      </c>
      <c r="P18" s="27">
        <f>E18*0.9*30/0.2</f>
        <v>1350</v>
      </c>
      <c r="Q18" s="27">
        <f>E18*0.9*31/0.2</f>
        <v>1395</v>
      </c>
      <c r="R18" s="27">
        <f t="shared" si="0"/>
        <v>14492</v>
      </c>
      <c r="S18" s="18" t="s">
        <v>31</v>
      </c>
    </row>
    <row r="19" spans="1:19" ht="20.149999999999999" customHeight="1">
      <c r="A19" s="35">
        <v>17</v>
      </c>
      <c r="B19" s="60"/>
      <c r="C19" s="46" t="s">
        <v>12</v>
      </c>
      <c r="D19" s="46"/>
      <c r="E19" s="23">
        <v>5</v>
      </c>
      <c r="F19" s="23">
        <v>42</v>
      </c>
      <c r="G19" s="27">
        <f>E19*1*28/0.2</f>
        <v>700</v>
      </c>
      <c r="H19" s="27">
        <f>E19*1*31/0.2</f>
        <v>775</v>
      </c>
      <c r="I19" s="27">
        <f>E19*0.8*30/0.2</f>
        <v>600</v>
      </c>
      <c r="J19" s="27">
        <f>E19*0.8*31/0.2</f>
        <v>620</v>
      </c>
      <c r="K19" s="27">
        <f>E19*0.8*30/0.2</f>
        <v>600</v>
      </c>
      <c r="L19" s="27">
        <f>E19*0.8*31/0.2</f>
        <v>620</v>
      </c>
      <c r="M19" s="27">
        <f>E19*1*31/0.2</f>
        <v>775</v>
      </c>
      <c r="N19" s="27">
        <f>E19*1*30/0.2</f>
        <v>750</v>
      </c>
      <c r="O19" s="27">
        <f>E19*1*31/0.2</f>
        <v>775</v>
      </c>
      <c r="P19" s="27">
        <f>E19*1*30/0.2</f>
        <v>750</v>
      </c>
      <c r="Q19" s="27">
        <f>E19*1*31/0.2</f>
        <v>775</v>
      </c>
      <c r="R19" s="27">
        <f t="shared" si="0"/>
        <v>7740</v>
      </c>
      <c r="S19" s="18" t="s">
        <v>39</v>
      </c>
    </row>
    <row r="20" spans="1:19" ht="20.149999999999999" customHeight="1">
      <c r="A20" s="35">
        <v>18</v>
      </c>
      <c r="B20" s="60"/>
      <c r="C20" s="46" t="s">
        <v>21</v>
      </c>
      <c r="D20" s="46"/>
      <c r="E20" s="23">
        <v>5</v>
      </c>
      <c r="F20" s="23"/>
      <c r="G20" s="27" t="s">
        <v>87</v>
      </c>
      <c r="H20" s="27" t="s">
        <v>87</v>
      </c>
      <c r="I20" s="27">
        <f>E20*0.3*30/0.2</f>
        <v>225</v>
      </c>
      <c r="J20" s="27">
        <f>E20*0.5*31/0.2</f>
        <v>387.5</v>
      </c>
      <c r="K20" s="27">
        <f>E20*0.7*30/0.2</f>
        <v>525</v>
      </c>
      <c r="L20" s="27">
        <f>E20*0.7*31/0.2</f>
        <v>542.5</v>
      </c>
      <c r="M20" s="27">
        <f>E20*0.7*31/0.2</f>
        <v>542.5</v>
      </c>
      <c r="N20" s="27">
        <f>E20*0.7*30/0.2</f>
        <v>525</v>
      </c>
      <c r="O20" s="27">
        <f>E20*0.7*31/0.2</f>
        <v>542.5</v>
      </c>
      <c r="P20" s="27">
        <f>E20*0.7*30/0.2</f>
        <v>525</v>
      </c>
      <c r="Q20" s="27">
        <f>E20*0.7*31/0.2</f>
        <v>542.5</v>
      </c>
      <c r="R20" s="27">
        <f t="shared" si="0"/>
        <v>4357.5</v>
      </c>
      <c r="S20" s="19" t="s">
        <v>61</v>
      </c>
    </row>
    <row r="21" spans="1:19" ht="20.149999999999999" customHeight="1">
      <c r="A21" s="35">
        <v>19</v>
      </c>
      <c r="B21" s="60"/>
      <c r="C21" s="46" t="s">
        <v>22</v>
      </c>
      <c r="D21" s="46"/>
      <c r="E21" s="23">
        <v>5</v>
      </c>
      <c r="F21" s="23"/>
      <c r="G21" s="27" t="s">
        <v>87</v>
      </c>
      <c r="H21" s="27" t="s">
        <v>87</v>
      </c>
      <c r="I21" s="27">
        <f>E21*0.5*30/0.2</f>
        <v>375</v>
      </c>
      <c r="J21" s="27">
        <f>E21*0.8*31/0.2</f>
        <v>620</v>
      </c>
      <c r="K21" s="27">
        <f>E21*0.8*30/0.2</f>
        <v>600</v>
      </c>
      <c r="L21" s="27">
        <f>E21*0.8*31/0.2</f>
        <v>620</v>
      </c>
      <c r="M21" s="27">
        <f>E21*1*31/0.2</f>
        <v>775</v>
      </c>
      <c r="N21" s="27">
        <f>E21*1*30/0.2</f>
        <v>750</v>
      </c>
      <c r="O21" s="27">
        <f>E21*1*31/0.2</f>
        <v>775</v>
      </c>
      <c r="P21" s="27">
        <f>E21*1*30/0.2</f>
        <v>750</v>
      </c>
      <c r="Q21" s="27">
        <f>E21*1*31/0.2</f>
        <v>775</v>
      </c>
      <c r="R21" s="27">
        <f t="shared" si="0"/>
        <v>6040</v>
      </c>
      <c r="S21" s="18"/>
    </row>
    <row r="22" spans="1:19" ht="20.149999999999999" customHeight="1">
      <c r="A22" s="35">
        <v>20</v>
      </c>
      <c r="B22" s="60"/>
      <c r="C22" s="46" t="s">
        <v>23</v>
      </c>
      <c r="D22" s="46"/>
      <c r="E22" s="23">
        <v>3</v>
      </c>
      <c r="F22" s="23"/>
      <c r="G22" s="27" t="s">
        <v>87</v>
      </c>
      <c r="H22" s="27" t="s">
        <v>87</v>
      </c>
      <c r="I22" s="27">
        <f>E22*0.4*30/0.2</f>
        <v>180.00000000000003</v>
      </c>
      <c r="J22" s="27">
        <f>E22*0.6*31/0.2</f>
        <v>278.99999999999994</v>
      </c>
      <c r="K22" s="27">
        <f>E22*0.7*30/0.2</f>
        <v>314.99999999999989</v>
      </c>
      <c r="L22" s="27">
        <f>E22*0.7*31/0.2</f>
        <v>325.49999999999994</v>
      </c>
      <c r="M22" s="27">
        <f>E22*0.7*31/0.2</f>
        <v>325.49999999999994</v>
      </c>
      <c r="N22" s="27">
        <f>E22*0.7*30/0.2</f>
        <v>314.99999999999989</v>
      </c>
      <c r="O22" s="27">
        <f>E22*0.7*31/0.2</f>
        <v>325.49999999999994</v>
      </c>
      <c r="P22" s="27">
        <f>E22*0.7*30/0.2</f>
        <v>314.99999999999989</v>
      </c>
      <c r="Q22" s="27">
        <f>E22*0.7*31/0.2</f>
        <v>325.49999999999994</v>
      </c>
      <c r="R22" s="27">
        <f t="shared" si="0"/>
        <v>2705.9999999999995</v>
      </c>
      <c r="S22" s="19" t="s">
        <v>64</v>
      </c>
    </row>
    <row r="23" spans="1:19" ht="20.149999999999999" customHeight="1">
      <c r="A23" s="35">
        <v>21</v>
      </c>
      <c r="B23" s="60"/>
      <c r="C23" s="46" t="s">
        <v>25</v>
      </c>
      <c r="D23" s="46"/>
      <c r="E23" s="23">
        <v>3</v>
      </c>
      <c r="F23" s="23"/>
      <c r="G23" s="27" t="s">
        <v>87</v>
      </c>
      <c r="H23" s="27" t="s">
        <v>87</v>
      </c>
      <c r="I23" s="27">
        <f>E23*0.2*30/0.2</f>
        <v>90.000000000000014</v>
      </c>
      <c r="J23" s="27">
        <f>E23*0.3*31/0.2</f>
        <v>139.49999999999997</v>
      </c>
      <c r="K23" s="27">
        <f>E23*0.7*30/0.2</f>
        <v>314.99999999999989</v>
      </c>
      <c r="L23" s="27">
        <f>E23*0.7*31/0.2</f>
        <v>325.49999999999994</v>
      </c>
      <c r="M23" s="27">
        <f>E23*0.7*31/0.2</f>
        <v>325.49999999999994</v>
      </c>
      <c r="N23" s="27">
        <f>E23*0.7*30/0.2</f>
        <v>314.99999999999989</v>
      </c>
      <c r="O23" s="27">
        <f>E23*0.8*31/0.2</f>
        <v>372</v>
      </c>
      <c r="P23" s="27">
        <f>E23*0.8*30/0.2</f>
        <v>360.00000000000006</v>
      </c>
      <c r="Q23" s="27">
        <f>E23*0.8*31/0.2</f>
        <v>372</v>
      </c>
      <c r="R23" s="27">
        <f t="shared" si="0"/>
        <v>2614.4999999999995</v>
      </c>
      <c r="S23" s="19" t="s">
        <v>62</v>
      </c>
    </row>
    <row r="24" spans="1:19" ht="20.149999999999999" customHeight="1">
      <c r="A24" s="35">
        <v>22</v>
      </c>
      <c r="B24" s="61"/>
      <c r="C24" s="51" t="s">
        <v>59</v>
      </c>
      <c r="D24" s="51"/>
      <c r="E24" s="26">
        <v>4</v>
      </c>
      <c r="F24" s="23"/>
      <c r="G24" s="27">
        <v>50</v>
      </c>
      <c r="H24" s="27">
        <v>50</v>
      </c>
      <c r="I24" s="27">
        <v>50</v>
      </c>
      <c r="J24" s="27">
        <v>50</v>
      </c>
      <c r="K24" s="27">
        <v>50</v>
      </c>
      <c r="L24" s="27">
        <v>50</v>
      </c>
      <c r="M24" s="27">
        <v>50</v>
      </c>
      <c r="N24" s="27">
        <v>50</v>
      </c>
      <c r="O24" s="27">
        <v>50</v>
      </c>
      <c r="P24" s="27">
        <v>50</v>
      </c>
      <c r="Q24" s="27">
        <v>50</v>
      </c>
      <c r="R24" s="27">
        <f t="shared" si="0"/>
        <v>550</v>
      </c>
      <c r="S24" s="18"/>
    </row>
    <row r="25" spans="1:19" ht="20.149999999999999" customHeight="1">
      <c r="A25" s="35">
        <v>23</v>
      </c>
      <c r="B25" s="29" t="s">
        <v>95</v>
      </c>
      <c r="C25" s="52"/>
      <c r="D25" s="53"/>
      <c r="E25" s="28">
        <f>SUM(E3:E24)</f>
        <v>168</v>
      </c>
      <c r="F25" s="24"/>
      <c r="G25" s="28">
        <f>SUM(G3:G24)</f>
        <v>20686</v>
      </c>
      <c r="H25" s="28">
        <f>SUM(H3:H24)</f>
        <v>16597</v>
      </c>
      <c r="I25" s="28">
        <f>SUM(I3:I24)</f>
        <v>19589</v>
      </c>
      <c r="J25" s="28">
        <f>SUM(J3:J24)</f>
        <v>21649.5</v>
      </c>
      <c r="K25" s="28">
        <f>SUM(K3:K24)</f>
        <v>21659</v>
      </c>
      <c r="L25" s="28">
        <f>SUM(L3:L24)</f>
        <v>22717</v>
      </c>
      <c r="M25" s="28">
        <f>SUM(M3:M24)</f>
        <v>23492</v>
      </c>
      <c r="N25" s="28">
        <f>SUM(N3:N24)</f>
        <v>22904</v>
      </c>
      <c r="O25" s="28">
        <f>SUM(O3:O24)</f>
        <v>23848.5</v>
      </c>
      <c r="P25" s="28">
        <f>SUM(P3:P24)</f>
        <v>23249</v>
      </c>
      <c r="Q25" s="28">
        <f>SUM(Q3:Q24)</f>
        <v>24003.5</v>
      </c>
      <c r="R25" s="28">
        <f>SUM(R3:R24)</f>
        <v>240394.5</v>
      </c>
      <c r="S25" s="20"/>
    </row>
    <row r="26" spans="1:19" ht="20.149999999999999" customHeight="1">
      <c r="A26" s="35">
        <v>24</v>
      </c>
      <c r="B26" s="25" t="s">
        <v>97</v>
      </c>
      <c r="C26" s="54"/>
      <c r="D26" s="48"/>
      <c r="E26" s="25"/>
      <c r="F26" s="25"/>
      <c r="G26" s="30">
        <f>G25/28</f>
        <v>738.78571428571433</v>
      </c>
      <c r="H26" s="30">
        <f>H25/31</f>
        <v>535.38709677419354</v>
      </c>
      <c r="I26" s="30">
        <f>I25/30</f>
        <v>652.9666666666667</v>
      </c>
      <c r="J26" s="30">
        <f>J25/31</f>
        <v>698.37096774193549</v>
      </c>
      <c r="K26" s="30">
        <f>K25/30</f>
        <v>721.9666666666667</v>
      </c>
      <c r="L26" s="30">
        <f>L25/31</f>
        <v>732.80645161290317</v>
      </c>
      <c r="M26" s="30">
        <f t="shared" ref="M26:R26" si="1">M25/31</f>
        <v>757.80645161290317</v>
      </c>
      <c r="N26" s="30">
        <f t="shared" si="1"/>
        <v>738.83870967741939</v>
      </c>
      <c r="O26" s="30">
        <f t="shared" si="1"/>
        <v>769.30645161290317</v>
      </c>
      <c r="P26" s="30">
        <f t="shared" si="1"/>
        <v>749.9677419354839</v>
      </c>
      <c r="Q26" s="30">
        <f t="shared" si="1"/>
        <v>774.30645161290317</v>
      </c>
      <c r="R26" s="30">
        <f t="shared" si="1"/>
        <v>7754.6612903225805</v>
      </c>
    </row>
    <row r="27" spans="1:19" s="34" customFormat="1" ht="20.149999999999999" customHeight="1">
      <c r="A27" s="35">
        <v>25</v>
      </c>
      <c r="B27" s="32" t="s">
        <v>98</v>
      </c>
      <c r="C27" s="47"/>
      <c r="D27" s="48"/>
      <c r="E27" s="32"/>
      <c r="F27" s="32"/>
      <c r="G27" s="33">
        <v>739</v>
      </c>
      <c r="H27" s="33">
        <v>535</v>
      </c>
      <c r="I27" s="33">
        <v>453</v>
      </c>
      <c r="J27" s="33">
        <v>498</v>
      </c>
      <c r="K27" s="33">
        <v>522</v>
      </c>
      <c r="L27" s="33">
        <v>325.11290322580646</v>
      </c>
      <c r="M27" s="33">
        <v>340.11290322580646</v>
      </c>
      <c r="N27" s="33">
        <v>340.16666666666669</v>
      </c>
      <c r="O27" s="33">
        <v>166.61290322580646</v>
      </c>
      <c r="P27" s="33">
        <v>166.66666666666666</v>
      </c>
      <c r="Q27" s="33">
        <v>166.61290322580646</v>
      </c>
      <c r="R27" s="33"/>
    </row>
    <row r="28" spans="1:19" ht="20.149999999999999" customHeight="1">
      <c r="A28" s="35">
        <v>26</v>
      </c>
      <c r="B28" s="32" t="s">
        <v>99</v>
      </c>
      <c r="C28" s="47"/>
      <c r="D28" s="48"/>
      <c r="E28" s="32"/>
      <c r="F28" s="32"/>
      <c r="G28" s="33">
        <f>G25</f>
        <v>20686</v>
      </c>
      <c r="H28" s="33">
        <f>H25</f>
        <v>16597</v>
      </c>
      <c r="I28" s="33">
        <f>SUM(I4:I24)</f>
        <v>13589</v>
      </c>
      <c r="J28" s="33">
        <f>SUM(J4:J24)</f>
        <v>15449.5</v>
      </c>
      <c r="K28" s="33">
        <f>SUM(K4:K24)</f>
        <v>15659</v>
      </c>
      <c r="L28" s="33">
        <v>10078.5</v>
      </c>
      <c r="M28" s="33">
        <v>10543.5</v>
      </c>
      <c r="N28" s="33">
        <v>10205</v>
      </c>
      <c r="O28" s="33">
        <v>5165</v>
      </c>
      <c r="P28" s="33">
        <v>5000</v>
      </c>
      <c r="Q28" s="33">
        <v>5165</v>
      </c>
      <c r="R28" s="33">
        <f>SUM(G28:Q28)</f>
        <v>128137.5</v>
      </c>
    </row>
    <row r="30" spans="1:19" ht="83.5" customHeight="1">
      <c r="B30" s="49" t="s">
        <v>96</v>
      </c>
      <c r="C30" s="50"/>
      <c r="D30" s="50"/>
    </row>
  </sheetData>
  <mergeCells count="32">
    <mergeCell ref="A1:R1"/>
    <mergeCell ref="C2:D2"/>
    <mergeCell ref="C3:D3"/>
    <mergeCell ref="C18:D18"/>
    <mergeCell ref="C4:D4"/>
    <mergeCell ref="B4:B13"/>
    <mergeCell ref="B14:B16"/>
    <mergeCell ref="B17:B24"/>
    <mergeCell ref="C11:D11"/>
    <mergeCell ref="C5:D5"/>
    <mergeCell ref="C16:D16"/>
    <mergeCell ref="C8:D8"/>
    <mergeCell ref="C6:D6"/>
    <mergeCell ref="C24:D24"/>
    <mergeCell ref="C13:D13"/>
    <mergeCell ref="C20:D20"/>
    <mergeCell ref="C21:D21"/>
    <mergeCell ref="C22:D22"/>
    <mergeCell ref="C12:D12"/>
    <mergeCell ref="C23:D23"/>
    <mergeCell ref="C10:D10"/>
    <mergeCell ref="C19:D19"/>
    <mergeCell ref="C17:D17"/>
    <mergeCell ref="C14:D14"/>
    <mergeCell ref="C7:D7"/>
    <mergeCell ref="C15:D15"/>
    <mergeCell ref="C9:D9"/>
    <mergeCell ref="C27:D27"/>
    <mergeCell ref="C28:D28"/>
    <mergeCell ref="B30:D30"/>
    <mergeCell ref="C25:D25"/>
    <mergeCell ref="C26:D26"/>
  </mergeCells>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污泥合同汇总情况表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2020-02-11T13:43:40Z</dcterms:modified>
</cp:coreProperties>
</file>